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Box Sync\Curso 2021-2022\PROGRAMACIÓN DE LA PRODUCCIÓN\Practicas\"/>
    </mc:Choice>
  </mc:AlternateContent>
  <xr:revisionPtr revIDLastSave="0" documentId="13_ncr:1_{8DB521CD-8D86-459C-A72A-46FAF817588E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1.- Plantilla fija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" l="1"/>
  <c r="E13" i="2"/>
  <c r="F13" i="2"/>
  <c r="G13" i="2"/>
  <c r="H13" i="2"/>
  <c r="C13" i="2"/>
  <c r="F11" i="2"/>
  <c r="E11" i="2"/>
  <c r="L15" i="2"/>
  <c r="E6" i="2"/>
  <c r="H5" i="2"/>
  <c r="H6" i="2" s="1"/>
  <c r="G5" i="2"/>
  <c r="G20" i="2" s="1"/>
  <c r="G21" i="2" s="1"/>
  <c r="F5" i="2"/>
  <c r="F20" i="2" s="1"/>
  <c r="F21" i="2" s="1"/>
  <c r="E5" i="2"/>
  <c r="E20" i="2" s="1"/>
  <c r="E21" i="2" s="1"/>
  <c r="D5" i="2"/>
  <c r="D6" i="2" s="1"/>
  <c r="C5" i="2"/>
  <c r="C20" i="2" s="1"/>
  <c r="I4" i="2"/>
  <c r="I3" i="2"/>
  <c r="L17" i="2" s="1"/>
  <c r="C5" i="1"/>
  <c r="D5" i="1"/>
  <c r="E5" i="1"/>
  <c r="F5" i="1"/>
  <c r="F6" i="1" s="1"/>
  <c r="G5" i="1"/>
  <c r="G6" i="1" s="1"/>
  <c r="H5" i="1"/>
  <c r="L15" i="1"/>
  <c r="I4" i="1"/>
  <c r="I3" i="1"/>
  <c r="C21" i="2" l="1"/>
  <c r="H20" i="2"/>
  <c r="H21" i="2" s="1"/>
  <c r="I5" i="2"/>
  <c r="F6" i="2"/>
  <c r="D20" i="2"/>
  <c r="D21" i="2" s="1"/>
  <c r="C6" i="2"/>
  <c r="G6" i="2"/>
  <c r="H6" i="1"/>
  <c r="L17" i="1"/>
  <c r="E6" i="1"/>
  <c r="D6" i="1"/>
  <c r="E20" i="1"/>
  <c r="E21" i="1" s="1"/>
  <c r="D20" i="1"/>
  <c r="D21" i="1" s="1"/>
  <c r="H20" i="1"/>
  <c r="H21" i="1" s="1"/>
  <c r="G20" i="1"/>
  <c r="G21" i="1" s="1"/>
  <c r="F20" i="1"/>
  <c r="F21" i="1" s="1"/>
  <c r="C20" i="1"/>
  <c r="C21" i="1" s="1"/>
  <c r="I5" i="1"/>
  <c r="C6" i="1"/>
  <c r="C7" i="1" s="1"/>
  <c r="I20" i="2" l="1"/>
  <c r="I21" i="2"/>
  <c r="I6" i="2"/>
  <c r="C7" i="2"/>
  <c r="C22" i="1"/>
  <c r="C8" i="1"/>
  <c r="C9" i="1" s="1"/>
  <c r="I21" i="1"/>
  <c r="C11" i="1"/>
  <c r="C13" i="1" s="1"/>
  <c r="I6" i="1"/>
  <c r="I20" i="1"/>
  <c r="C22" i="2" l="1"/>
  <c r="C11" i="2"/>
  <c r="C8" i="2"/>
  <c r="C10" i="2" s="1"/>
  <c r="C15" i="1"/>
  <c r="C10" i="1"/>
  <c r="C12" i="2" l="1"/>
  <c r="C16" i="2"/>
  <c r="C15" i="2"/>
  <c r="C9" i="2"/>
  <c r="C14" i="1"/>
  <c r="C12" i="1"/>
  <c r="C16" i="1"/>
  <c r="C14" i="2" l="1"/>
  <c r="C18" i="2" s="1"/>
  <c r="C17" i="2"/>
  <c r="D7" i="2"/>
  <c r="C17" i="1"/>
  <c r="D7" i="1"/>
  <c r="D8" i="1" s="1"/>
  <c r="D22" i="2" l="1"/>
  <c r="D11" i="2"/>
  <c r="D8" i="2"/>
  <c r="D22" i="1"/>
  <c r="D9" i="1"/>
  <c r="C18" i="1"/>
  <c r="D11" i="1"/>
  <c r="D13" i="1" s="1"/>
  <c r="D9" i="2" l="1"/>
  <c r="D15" i="2"/>
  <c r="D10" i="2"/>
  <c r="D10" i="1"/>
  <c r="D12" i="1" s="1"/>
  <c r="D15" i="1"/>
  <c r="D16" i="2" l="1"/>
  <c r="D12" i="2"/>
  <c r="D14" i="2"/>
  <c r="D16" i="1"/>
  <c r="D17" i="1"/>
  <c r="E7" i="1"/>
  <c r="E8" i="1" s="1"/>
  <c r="D14" i="1"/>
  <c r="D17" i="2" l="1"/>
  <c r="E7" i="2"/>
  <c r="D18" i="2"/>
  <c r="E22" i="1"/>
  <c r="E11" i="1"/>
  <c r="E13" i="1" s="1"/>
  <c r="E9" i="1"/>
  <c r="D18" i="1"/>
  <c r="E22" i="2" l="1"/>
  <c r="E8" i="2"/>
  <c r="E15" i="1"/>
  <c r="E10" i="1"/>
  <c r="E12" i="1" s="1"/>
  <c r="E9" i="2" l="1"/>
  <c r="E15" i="2"/>
  <c r="E10" i="2"/>
  <c r="E14" i="1"/>
  <c r="E16" i="1"/>
  <c r="E16" i="2" l="1"/>
  <c r="E12" i="2"/>
  <c r="E14" i="2"/>
  <c r="F7" i="1"/>
  <c r="F8" i="1" s="1"/>
  <c r="E17" i="1"/>
  <c r="E17" i="2" l="1"/>
  <c r="F7" i="2"/>
  <c r="F22" i="1"/>
  <c r="F9" i="1"/>
  <c r="E18" i="1"/>
  <c r="F11" i="1"/>
  <c r="F13" i="1" s="1"/>
  <c r="E18" i="2" l="1"/>
  <c r="F8" i="2"/>
  <c r="F10" i="2" s="1"/>
  <c r="F22" i="2"/>
  <c r="F10" i="1"/>
  <c r="F12" i="1" s="1"/>
  <c r="F15" i="1"/>
  <c r="F12" i="2" l="1"/>
  <c r="F16" i="2"/>
  <c r="F15" i="2"/>
  <c r="F9" i="2"/>
  <c r="F16" i="1"/>
  <c r="F14" i="1"/>
  <c r="F14" i="2" l="1"/>
  <c r="F18" i="2"/>
  <c r="F17" i="2"/>
  <c r="G7" i="2"/>
  <c r="F17" i="1"/>
  <c r="F18" i="1" s="1"/>
  <c r="G7" i="1"/>
  <c r="G8" i="1" s="1"/>
  <c r="G8" i="2" l="1"/>
  <c r="G10" i="2" s="1"/>
  <c r="G22" i="2"/>
  <c r="G11" i="2"/>
  <c r="G22" i="1"/>
  <c r="G11" i="1"/>
  <c r="G13" i="1" s="1"/>
  <c r="G9" i="1"/>
  <c r="G12" i="2" l="1"/>
  <c r="G16" i="2"/>
  <c r="G15" i="2"/>
  <c r="G9" i="2"/>
  <c r="G15" i="1"/>
  <c r="G10" i="1"/>
  <c r="G12" i="1" s="1"/>
  <c r="G14" i="2" l="1"/>
  <c r="G18" i="2"/>
  <c r="G17" i="2"/>
  <c r="H7" i="2"/>
  <c r="G16" i="1"/>
  <c r="G14" i="1"/>
  <c r="H22" i="2" l="1"/>
  <c r="I22" i="2" s="1"/>
  <c r="H11" i="2"/>
  <c r="H8" i="2"/>
  <c r="I7" i="2"/>
  <c r="H7" i="1"/>
  <c r="H8" i="1" s="1"/>
  <c r="G17" i="1"/>
  <c r="G18" i="1" s="1"/>
  <c r="H9" i="2" l="1"/>
  <c r="I8" i="2"/>
  <c r="H15" i="2"/>
  <c r="I15" i="2" s="1"/>
  <c r="I11" i="2"/>
  <c r="H10" i="2"/>
  <c r="H22" i="1"/>
  <c r="I22" i="1" s="1"/>
  <c r="H11" i="1"/>
  <c r="H13" i="1" s="1"/>
  <c r="I13" i="1" s="1"/>
  <c r="H9" i="1"/>
  <c r="I7" i="1"/>
  <c r="I13" i="2" l="1"/>
  <c r="H16" i="2"/>
  <c r="I16" i="2" s="1"/>
  <c r="H12" i="2"/>
  <c r="I10" i="2"/>
  <c r="H14" i="2"/>
  <c r="I14" i="2" s="1"/>
  <c r="I9" i="2"/>
  <c r="H10" i="1"/>
  <c r="H16" i="1" s="1"/>
  <c r="I16" i="1" s="1"/>
  <c r="I8" i="1"/>
  <c r="H15" i="1"/>
  <c r="I15" i="1" s="1"/>
  <c r="I11" i="1"/>
  <c r="H17" i="2" l="1"/>
  <c r="I17" i="2" s="1"/>
  <c r="I12" i="2"/>
  <c r="H18" i="2"/>
  <c r="I18" i="2" s="1"/>
  <c r="I10" i="1"/>
  <c r="H12" i="1"/>
  <c r="H17" i="1" s="1"/>
  <c r="I17" i="1" s="1"/>
  <c r="H14" i="1"/>
  <c r="I9" i="1"/>
  <c r="I12" i="1" l="1"/>
  <c r="H18" i="1"/>
  <c r="I18" i="1" s="1"/>
  <c r="I14" i="1"/>
</calcChain>
</file>

<file path=xl/sharedStrings.xml><?xml version="1.0" encoding="utf-8"?>
<sst xmlns="http://schemas.openxmlformats.org/spreadsheetml/2006/main" count="110" uniqueCount="49">
  <si>
    <t>Previsión de ventas</t>
  </si>
  <si>
    <t>Unidad</t>
  </si>
  <si>
    <t>Coste de subcontratación</t>
  </si>
  <si>
    <t>DATOS</t>
  </si>
  <si>
    <t>Coste contratación</t>
  </si>
  <si>
    <t>Coste despido</t>
  </si>
  <si>
    <t>Coste mano de obra</t>
  </si>
  <si>
    <t>Coste mano de obra horas extras</t>
  </si>
  <si>
    <t>Empleados</t>
  </si>
  <si>
    <t>Tiempo producción</t>
  </si>
  <si>
    <t xml:space="preserve">horas </t>
  </si>
  <si>
    <t>Inventario Inicial</t>
  </si>
  <si>
    <t>Unidades</t>
  </si>
  <si>
    <t>Cantidad</t>
  </si>
  <si>
    <t>Total</t>
  </si>
  <si>
    <t>Producción diaria /empleado</t>
  </si>
  <si>
    <t>Horas laborables al día</t>
  </si>
  <si>
    <t>Plantilla ideal media</t>
  </si>
  <si>
    <t>Coste inventario</t>
  </si>
  <si>
    <t>Inventario</t>
  </si>
  <si>
    <t>COSTE TOTAL</t>
  </si>
  <si>
    <t>€/unidad *mes</t>
  </si>
  <si>
    <t>Horas/unidad*empleado</t>
  </si>
  <si>
    <t>Días de producción</t>
  </si>
  <si>
    <t>Enero</t>
  </si>
  <si>
    <t>Febrero</t>
  </si>
  <si>
    <t>Marzo</t>
  </si>
  <si>
    <t>Abril</t>
  </si>
  <si>
    <t>Mayo</t>
  </si>
  <si>
    <t>Junio</t>
  </si>
  <si>
    <t>Producción regular</t>
  </si>
  <si>
    <t xml:space="preserve">um/unidad </t>
  </si>
  <si>
    <t>um</t>
  </si>
  <si>
    <t>um/empleado</t>
  </si>
  <si>
    <t>Plantilla en Diciembre</t>
  </si>
  <si>
    <t>Horas de mano de obra</t>
  </si>
  <si>
    <t>Unidades extras a producir</t>
  </si>
  <si>
    <t>Horas extra</t>
  </si>
  <si>
    <t>Producción en horas extra</t>
  </si>
  <si>
    <t>Máximas horas extra</t>
  </si>
  <si>
    <t>Producción máxima horas extra</t>
  </si>
  <si>
    <t>Producción por subcontratación</t>
  </si>
  <si>
    <t>Coste horas ociosas</t>
  </si>
  <si>
    <t>Coste mano de obra extra</t>
  </si>
  <si>
    <t>Coste mano de obra ociosa</t>
  </si>
  <si>
    <t>Horas ociosas</t>
  </si>
  <si>
    <t>Coste por subcontratación</t>
  </si>
  <si>
    <t>um/hora</t>
  </si>
  <si>
    <t>Produccion regular 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</si>
</sst>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0" borderId="1" xfId="0" applyBorder="1"/>
    <xf numFmtId="0" fontId="0" fillId="2" borderId="1" xfId="0" applyFill="1" applyBorder="1"/>
    <xf numFmtId="0" fontId="0" fillId="2" borderId="0" xfId="0" applyFill="1" applyBorder="1"/>
    <xf numFmtId="0" fontId="0" fillId="2" borderId="1" xfId="0" applyFill="1" applyBorder="1" applyAlignment="1">
      <alignment horizontal="center"/>
    </xf>
    <xf numFmtId="0" fontId="0" fillId="5" borderId="1" xfId="0" applyFill="1" applyBorder="1"/>
    <xf numFmtId="0" fontId="0" fillId="5" borderId="2" xfId="0" applyFill="1" applyBorder="1"/>
    <xf numFmtId="0" fontId="0" fillId="6" borderId="1" xfId="1" applyNumberFormat="1" applyFont="1" applyFill="1" applyBorder="1"/>
    <xf numFmtId="0" fontId="0" fillId="6" borderId="1" xfId="0" applyNumberFormat="1" applyFill="1" applyBorder="1" applyAlignment="1">
      <alignment horizontal="right"/>
    </xf>
    <xf numFmtId="164" fontId="0" fillId="4" borderId="1" xfId="2" applyNumberFormat="1" applyFont="1" applyFill="1" applyBorder="1" applyAlignment="1">
      <alignment horizontal="center"/>
    </xf>
    <xf numFmtId="164" fontId="0" fillId="4" borderId="1" xfId="2" applyNumberFormat="1" applyFont="1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2" applyNumberFormat="1" applyFon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7" borderId="0" xfId="0" applyFill="1" applyBorder="1"/>
    <xf numFmtId="164" fontId="0" fillId="0" borderId="1" xfId="2" applyNumberFormat="1" applyFont="1" applyBorder="1" applyAlignment="1">
      <alignment horizontal="right"/>
    </xf>
    <xf numFmtId="0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right" indent="1"/>
    </xf>
    <xf numFmtId="165" fontId="0" fillId="0" borderId="0" xfId="0" applyNumberFormat="1"/>
    <xf numFmtId="0" fontId="0" fillId="7" borderId="0" xfId="0" applyFill="1"/>
    <xf numFmtId="0" fontId="0" fillId="0" borderId="1" xfId="2" applyNumberFormat="1" applyFont="1" applyBorder="1" applyAlignment="1">
      <alignment horizontal="right"/>
    </xf>
    <xf numFmtId="0" fontId="0" fillId="0" borderId="3" xfId="2" applyNumberFormat="1" applyFont="1" applyBorder="1" applyAlignment="1">
      <alignment horizontal="right"/>
    </xf>
    <xf numFmtId="0" fontId="3" fillId="0" borderId="4" xfId="2" applyNumberFormat="1" applyFont="1" applyBorder="1" applyAlignment="1">
      <alignment horizontal="right"/>
    </xf>
    <xf numFmtId="164" fontId="0" fillId="0" borderId="3" xfId="2" applyNumberFormat="1" applyFont="1" applyBorder="1" applyAlignment="1">
      <alignment horizontal="right"/>
    </xf>
    <xf numFmtId="164" fontId="3" fillId="0" borderId="4" xfId="2" applyNumberFormat="1" applyFont="1" applyBorder="1" applyAlignment="1">
      <alignment horizontal="right"/>
    </xf>
    <xf numFmtId="0" fontId="0" fillId="3" borderId="2" xfId="0" applyFill="1" applyBorder="1"/>
  </cellXfs>
  <cellStyles count="3">
    <cellStyle name="Millares" xfId="2" builtinId="3"/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22"/>
  <sheetViews>
    <sheetView topLeftCell="B2" zoomScale="90" zoomScaleNormal="90" workbookViewId="0">
      <selection activeCell="E15" sqref="E15"/>
    </sheetView>
  </sheetViews>
  <sheetFormatPr baseColWidth="10" defaultRowHeight="14.5" x14ac:dyDescent="0.35"/>
  <cols>
    <col min="1" max="1" width="3.26953125" customWidth="1"/>
    <col min="2" max="2" width="30.81640625" bestFit="1" customWidth="1"/>
    <col min="3" max="5" width="15.26953125" style="1" bestFit="1" customWidth="1"/>
    <col min="6" max="6" width="16.453125" style="1" customWidth="1"/>
    <col min="7" max="8" width="15.26953125" style="1" bestFit="1" customWidth="1"/>
    <col min="9" max="9" width="16.453125" style="1" bestFit="1" customWidth="1"/>
    <col min="10" max="10" width="3.1796875" customWidth="1"/>
    <col min="11" max="11" width="28.54296875" bestFit="1" customWidth="1"/>
    <col min="12" max="12" width="11.81640625" bestFit="1" customWidth="1"/>
    <col min="13" max="13" width="21.81640625" bestFit="1" customWidth="1"/>
  </cols>
  <sheetData>
    <row r="2" spans="2:13" x14ac:dyDescent="0.35">
      <c r="B2" s="5"/>
      <c r="C2" s="8" t="s">
        <v>24</v>
      </c>
      <c r="D2" s="8" t="s">
        <v>25</v>
      </c>
      <c r="E2" s="8" t="s">
        <v>26</v>
      </c>
      <c r="F2" s="8" t="s">
        <v>27</v>
      </c>
      <c r="G2" s="8" t="s">
        <v>28</v>
      </c>
      <c r="H2" s="8" t="s">
        <v>29</v>
      </c>
      <c r="I2" s="8" t="s">
        <v>14</v>
      </c>
      <c r="K2" s="3" t="s">
        <v>3</v>
      </c>
      <c r="L2" s="3" t="s">
        <v>13</v>
      </c>
      <c r="M2" s="4" t="s">
        <v>1</v>
      </c>
    </row>
    <row r="3" spans="2:13" x14ac:dyDescent="0.35">
      <c r="B3" s="6" t="s">
        <v>0</v>
      </c>
      <c r="C3" s="13">
        <v>8200</v>
      </c>
      <c r="D3" s="14">
        <v>5800</v>
      </c>
      <c r="E3" s="14">
        <v>7300</v>
      </c>
      <c r="F3" s="14">
        <v>5000</v>
      </c>
      <c r="G3" s="14">
        <v>7200</v>
      </c>
      <c r="H3" s="14">
        <v>8500</v>
      </c>
      <c r="I3" s="17">
        <f>SUM(C3:H3)</f>
        <v>42000</v>
      </c>
      <c r="K3" s="6" t="s">
        <v>2</v>
      </c>
      <c r="L3" s="11">
        <v>5500</v>
      </c>
      <c r="M3" s="5" t="s">
        <v>31</v>
      </c>
    </row>
    <row r="4" spans="2:13" x14ac:dyDescent="0.35">
      <c r="B4" s="6" t="s">
        <v>23</v>
      </c>
      <c r="C4" s="15">
        <v>21</v>
      </c>
      <c r="D4" s="15">
        <v>18</v>
      </c>
      <c r="E4" s="15">
        <v>23</v>
      </c>
      <c r="F4" s="15">
        <v>20</v>
      </c>
      <c r="G4" s="15">
        <v>21</v>
      </c>
      <c r="H4" s="15">
        <v>22</v>
      </c>
      <c r="I4" s="16">
        <f>SUM(C4:H4)</f>
        <v>125</v>
      </c>
      <c r="K4" s="6" t="s">
        <v>6</v>
      </c>
      <c r="L4" s="11">
        <v>1200</v>
      </c>
      <c r="M4" s="5" t="s">
        <v>47</v>
      </c>
    </row>
    <row r="5" spans="2:13" x14ac:dyDescent="0.35">
      <c r="B5" s="6" t="s">
        <v>35</v>
      </c>
      <c r="C5" s="21">
        <f>$L$9*$L$11*C4</f>
        <v>16800</v>
      </c>
      <c r="D5" s="21">
        <f t="shared" ref="D5:H5" si="0">$L$9*$L$11*D4</f>
        <v>14400</v>
      </c>
      <c r="E5" s="21">
        <f t="shared" si="0"/>
        <v>18400</v>
      </c>
      <c r="F5" s="21">
        <f t="shared" si="0"/>
        <v>16000</v>
      </c>
      <c r="G5" s="21">
        <f t="shared" si="0"/>
        <v>16800</v>
      </c>
      <c r="H5" s="21">
        <f t="shared" si="0"/>
        <v>17600</v>
      </c>
      <c r="I5" s="21">
        <f>SUM(C5:H5)</f>
        <v>100000</v>
      </c>
      <c r="K5" s="6" t="s">
        <v>7</v>
      </c>
      <c r="L5" s="11">
        <v>1800</v>
      </c>
      <c r="M5" s="5" t="s">
        <v>47</v>
      </c>
    </row>
    <row r="6" spans="2:13" x14ac:dyDescent="0.35">
      <c r="B6" s="6" t="s">
        <v>30</v>
      </c>
      <c r="C6" s="21">
        <f>C5/$L$10</f>
        <v>6720</v>
      </c>
      <c r="D6" s="21">
        <f t="shared" ref="D6:H6" si="1">D5/$L$10</f>
        <v>5760</v>
      </c>
      <c r="E6" s="21">
        <f t="shared" si="1"/>
        <v>7360</v>
      </c>
      <c r="F6" s="21">
        <f t="shared" si="1"/>
        <v>6400</v>
      </c>
      <c r="G6" s="21">
        <f t="shared" si="1"/>
        <v>6720</v>
      </c>
      <c r="H6" s="21">
        <f t="shared" si="1"/>
        <v>7040</v>
      </c>
      <c r="I6" s="21">
        <f>SUM(C6:H6)</f>
        <v>40000</v>
      </c>
      <c r="K6" s="6" t="s">
        <v>4</v>
      </c>
      <c r="L6" s="11">
        <v>150000</v>
      </c>
      <c r="M6" s="5" t="s">
        <v>33</v>
      </c>
    </row>
    <row r="7" spans="2:13" x14ac:dyDescent="0.35">
      <c r="B7" s="6" t="s">
        <v>36</v>
      </c>
      <c r="C7" s="18">
        <f>IF(C3-C6-L12&gt;0,C3-C6-L12,0)</f>
        <v>1180</v>
      </c>
      <c r="D7" s="18">
        <f>IF(D3-D6-C12&gt;0,D3-D6-C12,0)</f>
        <v>40</v>
      </c>
      <c r="E7" s="18">
        <f t="shared" ref="E7:H7" si="2">E3-E6-D12</f>
        <v>-60</v>
      </c>
      <c r="F7" s="18">
        <f t="shared" si="2"/>
        <v>-1400</v>
      </c>
      <c r="G7" s="18">
        <f t="shared" si="2"/>
        <v>480</v>
      </c>
      <c r="H7" s="18">
        <f t="shared" si="2"/>
        <v>1460</v>
      </c>
      <c r="I7" s="23">
        <f>SUM(C7:H7)</f>
        <v>1700</v>
      </c>
      <c r="K7" s="6" t="s">
        <v>5</v>
      </c>
      <c r="L7" s="11">
        <v>190000</v>
      </c>
      <c r="M7" s="5" t="s">
        <v>33</v>
      </c>
    </row>
    <row r="8" spans="2:13" x14ac:dyDescent="0.35">
      <c r="B8" s="6" t="s">
        <v>38</v>
      </c>
      <c r="C8" s="18">
        <f>IF(IF(C7&gt;C21,C21,C7)&gt;0,IF(C7&gt;C21,C21,C7),0)</f>
        <v>672</v>
      </c>
      <c r="D8" s="18">
        <f t="shared" ref="D8:H8" si="3">IF(IF(D7&gt;D21,D21,D7)&gt;0,IF(D7&gt;D21,D21,D7),0)</f>
        <v>40</v>
      </c>
      <c r="E8" s="18">
        <f t="shared" si="3"/>
        <v>0</v>
      </c>
      <c r="F8" s="18">
        <f t="shared" si="3"/>
        <v>0</v>
      </c>
      <c r="G8" s="18">
        <f t="shared" si="3"/>
        <v>480</v>
      </c>
      <c r="H8" s="18">
        <f t="shared" si="3"/>
        <v>704</v>
      </c>
      <c r="I8" s="23">
        <f t="shared" ref="I8:I18" si="4">SUM(C8:H8)</f>
        <v>1896</v>
      </c>
      <c r="K8" s="6" t="s">
        <v>42</v>
      </c>
      <c r="L8" s="11">
        <v>1300</v>
      </c>
      <c r="M8" s="5" t="s">
        <v>32</v>
      </c>
    </row>
    <row r="9" spans="2:13" x14ac:dyDescent="0.35">
      <c r="B9" s="6" t="s">
        <v>37</v>
      </c>
      <c r="C9" s="18">
        <f>IF(C8*$L$10&gt;0,C8*$L$10,0)</f>
        <v>1680</v>
      </c>
      <c r="D9" s="18">
        <f t="shared" ref="D9:H9" si="5">IF(D8*$L$10&gt;0,D8*$L$10,0)</f>
        <v>100</v>
      </c>
      <c r="E9" s="18">
        <f t="shared" si="5"/>
        <v>0</v>
      </c>
      <c r="F9" s="18">
        <f t="shared" si="5"/>
        <v>0</v>
      </c>
      <c r="G9" s="18">
        <f t="shared" si="5"/>
        <v>1200</v>
      </c>
      <c r="H9" s="18">
        <f t="shared" si="5"/>
        <v>1760</v>
      </c>
      <c r="I9" s="23">
        <f t="shared" si="4"/>
        <v>4740</v>
      </c>
      <c r="K9" s="6" t="s">
        <v>34</v>
      </c>
      <c r="L9" s="11">
        <v>100</v>
      </c>
      <c r="M9" s="5" t="s">
        <v>8</v>
      </c>
    </row>
    <row r="10" spans="2:13" x14ac:dyDescent="0.35">
      <c r="B10" s="6" t="s">
        <v>41</v>
      </c>
      <c r="C10" s="18">
        <f>IF(C7-C8&gt;0,C7-C8,0)</f>
        <v>508</v>
      </c>
      <c r="D10" s="18">
        <f t="shared" ref="D10:H10" si="6">IF(D7-D8&gt;0,D7-D8,0)</f>
        <v>0</v>
      </c>
      <c r="E10" s="18">
        <f t="shared" si="6"/>
        <v>0</v>
      </c>
      <c r="F10" s="18">
        <f t="shared" si="6"/>
        <v>0</v>
      </c>
      <c r="G10" s="18">
        <f t="shared" si="6"/>
        <v>0</v>
      </c>
      <c r="H10" s="18">
        <f t="shared" si="6"/>
        <v>756</v>
      </c>
      <c r="I10" s="23">
        <f t="shared" si="4"/>
        <v>1264</v>
      </c>
      <c r="K10" s="6" t="s">
        <v>9</v>
      </c>
      <c r="L10" s="12">
        <v>2.5</v>
      </c>
      <c r="M10" s="5" t="s">
        <v>22</v>
      </c>
    </row>
    <row r="11" spans="2:13" x14ac:dyDescent="0.35">
      <c r="B11" s="6" t="s">
        <v>45</v>
      </c>
      <c r="C11" s="18">
        <f>IF(C7&lt;0,ABS(C7/$L$10),0)</f>
        <v>0</v>
      </c>
      <c r="D11" s="18">
        <f t="shared" ref="D11:H11" si="7">IF(D7&lt;0,ABS(D7/$L$10),0)</f>
        <v>0</v>
      </c>
      <c r="E11" s="18">
        <f t="shared" si="7"/>
        <v>24</v>
      </c>
      <c r="F11" s="18">
        <f t="shared" si="7"/>
        <v>560</v>
      </c>
      <c r="G11" s="18">
        <f t="shared" si="7"/>
        <v>0</v>
      </c>
      <c r="H11" s="18">
        <f t="shared" si="7"/>
        <v>0</v>
      </c>
      <c r="I11" s="23">
        <f t="shared" si="4"/>
        <v>584</v>
      </c>
      <c r="K11" s="6" t="s">
        <v>16</v>
      </c>
      <c r="L11" s="11">
        <v>8</v>
      </c>
      <c r="M11" s="5" t="s">
        <v>10</v>
      </c>
    </row>
    <row r="12" spans="2:13" x14ac:dyDescent="0.35">
      <c r="B12" s="6" t="s">
        <v>19</v>
      </c>
      <c r="C12" s="22">
        <f>$L$12+C10+C8+C6-C3</f>
        <v>0</v>
      </c>
      <c r="D12" s="22">
        <f>D10+D8+D22-D3</f>
        <v>0</v>
      </c>
      <c r="E12" s="22">
        <f t="shared" ref="E12:H12" si="8">E10+E8+E22-E3</f>
        <v>0</v>
      </c>
      <c r="F12" s="22">
        <f t="shared" si="8"/>
        <v>0</v>
      </c>
      <c r="G12" s="22">
        <f t="shared" si="8"/>
        <v>0</v>
      </c>
      <c r="H12" s="22">
        <f t="shared" si="8"/>
        <v>0</v>
      </c>
      <c r="I12" s="24">
        <f t="shared" si="4"/>
        <v>0</v>
      </c>
      <c r="K12" s="6" t="s">
        <v>11</v>
      </c>
      <c r="L12" s="11">
        <v>300</v>
      </c>
      <c r="M12" s="5" t="s">
        <v>12</v>
      </c>
    </row>
    <row r="13" spans="2:13" x14ac:dyDescent="0.35">
      <c r="B13" s="9" t="s">
        <v>6</v>
      </c>
      <c r="C13" s="27">
        <f>((C5-C11)*$L$4)+(C11*$L$8)</f>
        <v>20160000</v>
      </c>
      <c r="D13" s="27">
        <f t="shared" ref="D13:H13" si="9">((D5-D11)*$L$4)+(D11*$L$8)</f>
        <v>17280000</v>
      </c>
      <c r="E13" s="27">
        <f t="shared" si="9"/>
        <v>22082400</v>
      </c>
      <c r="F13" s="27">
        <f t="shared" si="9"/>
        <v>19256000</v>
      </c>
      <c r="G13" s="27">
        <f t="shared" si="9"/>
        <v>20160000</v>
      </c>
      <c r="H13" s="27">
        <f t="shared" si="9"/>
        <v>21120000</v>
      </c>
      <c r="I13" s="27">
        <f t="shared" si="4"/>
        <v>120058400</v>
      </c>
      <c r="K13" s="6" t="s">
        <v>18</v>
      </c>
      <c r="L13" s="11">
        <v>300</v>
      </c>
      <c r="M13" s="5" t="s">
        <v>21</v>
      </c>
    </row>
    <row r="14" spans="2:13" x14ac:dyDescent="0.35">
      <c r="B14" s="9" t="s">
        <v>43</v>
      </c>
      <c r="C14" s="27">
        <f>IF(C9*$L$5&gt;0,C9*$L$5,0)</f>
        <v>3024000</v>
      </c>
      <c r="D14" s="27">
        <f t="shared" ref="D14:H14" si="10">IF(D9*$L$5&gt;0,D9*$L$5,0)</f>
        <v>180000</v>
      </c>
      <c r="E14" s="27">
        <f t="shared" si="10"/>
        <v>0</v>
      </c>
      <c r="F14" s="27">
        <f t="shared" si="10"/>
        <v>0</v>
      </c>
      <c r="G14" s="27">
        <f t="shared" si="10"/>
        <v>2160000</v>
      </c>
      <c r="H14" s="27">
        <f t="shared" si="10"/>
        <v>3168000</v>
      </c>
      <c r="I14" s="27">
        <f t="shared" si="4"/>
        <v>8532000</v>
      </c>
    </row>
    <row r="15" spans="2:13" x14ac:dyDescent="0.35">
      <c r="B15" s="9" t="s">
        <v>44</v>
      </c>
      <c r="C15" s="22">
        <f>C11*$L$8</f>
        <v>0</v>
      </c>
      <c r="D15" s="22">
        <f t="shared" ref="D15:H15" si="11">D11*$L$8</f>
        <v>0</v>
      </c>
      <c r="E15" s="27">
        <f t="shared" si="11"/>
        <v>31200</v>
      </c>
      <c r="F15" s="27">
        <f t="shared" si="11"/>
        <v>728000</v>
      </c>
      <c r="G15" s="22">
        <f t="shared" si="11"/>
        <v>0</v>
      </c>
      <c r="H15" s="22">
        <f t="shared" si="11"/>
        <v>0</v>
      </c>
      <c r="I15" s="27">
        <f t="shared" si="4"/>
        <v>759200</v>
      </c>
      <c r="K15" s="7" t="s">
        <v>15</v>
      </c>
      <c r="L15" s="2">
        <f>L11/L10</f>
        <v>3.2</v>
      </c>
      <c r="M15" t="s">
        <v>12</v>
      </c>
    </row>
    <row r="16" spans="2:13" x14ac:dyDescent="0.35">
      <c r="B16" s="9" t="s">
        <v>46</v>
      </c>
      <c r="C16" s="22">
        <f>C10*$L$3</f>
        <v>2794000</v>
      </c>
      <c r="D16" s="22">
        <f t="shared" ref="D16:H16" si="12">D10*$L$3</f>
        <v>0</v>
      </c>
      <c r="E16" s="22">
        <f t="shared" si="12"/>
        <v>0</v>
      </c>
      <c r="F16" s="22">
        <f t="shared" si="12"/>
        <v>0</v>
      </c>
      <c r="G16" s="22">
        <f t="shared" si="12"/>
        <v>0</v>
      </c>
      <c r="H16" s="22">
        <f t="shared" si="12"/>
        <v>4158000</v>
      </c>
      <c r="I16" s="27">
        <f t="shared" si="4"/>
        <v>6952000</v>
      </c>
      <c r="K16" s="7"/>
      <c r="L16" s="2"/>
    </row>
    <row r="17" spans="2:13" ht="15" thickBot="1" x14ac:dyDescent="0.4">
      <c r="B17" s="9" t="s">
        <v>18</v>
      </c>
      <c r="C17" s="27">
        <f>C12*$L$13</f>
        <v>0</v>
      </c>
      <c r="D17" s="27">
        <f t="shared" ref="D17:H17" si="13">D12*$L$13</f>
        <v>0</v>
      </c>
      <c r="E17" s="27">
        <f t="shared" si="13"/>
        <v>0</v>
      </c>
      <c r="F17" s="27">
        <f t="shared" si="13"/>
        <v>0</v>
      </c>
      <c r="G17" s="27">
        <f t="shared" si="13"/>
        <v>0</v>
      </c>
      <c r="H17" s="27">
        <f t="shared" si="13"/>
        <v>0</v>
      </c>
      <c r="I17" s="22">
        <f t="shared" si="4"/>
        <v>0</v>
      </c>
      <c r="K17" s="7" t="s">
        <v>17</v>
      </c>
      <c r="L17" s="25">
        <f>((I3-L12)/I4)/L15</f>
        <v>104.25</v>
      </c>
      <c r="M17" t="s">
        <v>8</v>
      </c>
    </row>
    <row r="18" spans="2:13" ht="15.5" thickTop="1" thickBot="1" x14ac:dyDescent="0.4">
      <c r="B18" s="10" t="s">
        <v>20</v>
      </c>
      <c r="C18" s="28">
        <f>SUM(C13:C17)</f>
        <v>25978000</v>
      </c>
      <c r="D18" s="28">
        <f t="shared" ref="D18:H18" si="14">SUM(D13:D17)</f>
        <v>17460000</v>
      </c>
      <c r="E18" s="28">
        <f t="shared" si="14"/>
        <v>22113600</v>
      </c>
      <c r="F18" s="28">
        <f t="shared" si="14"/>
        <v>19984000</v>
      </c>
      <c r="G18" s="28">
        <f t="shared" si="14"/>
        <v>22320000</v>
      </c>
      <c r="H18" s="28">
        <f t="shared" si="14"/>
        <v>28446000</v>
      </c>
      <c r="I18" s="29">
        <f t="shared" si="4"/>
        <v>136301600</v>
      </c>
    </row>
    <row r="19" spans="2:13" ht="15" thickTop="1" x14ac:dyDescent="0.35"/>
    <row r="20" spans="2:13" x14ac:dyDescent="0.35">
      <c r="B20" s="20" t="s">
        <v>39</v>
      </c>
      <c r="C20" s="19">
        <f>C5*0.1</f>
        <v>1680</v>
      </c>
      <c r="D20" s="19">
        <f t="shared" ref="D20:H20" si="15">D5*0.1</f>
        <v>1440</v>
      </c>
      <c r="E20" s="19">
        <f t="shared" si="15"/>
        <v>1840</v>
      </c>
      <c r="F20" s="19">
        <f t="shared" si="15"/>
        <v>1600</v>
      </c>
      <c r="G20" s="19">
        <f t="shared" si="15"/>
        <v>1680</v>
      </c>
      <c r="H20" s="19">
        <f t="shared" si="15"/>
        <v>1760</v>
      </c>
      <c r="I20" s="19">
        <f>SUM(C20:H20)</f>
        <v>10000</v>
      </c>
    </row>
    <row r="21" spans="2:13" x14ac:dyDescent="0.35">
      <c r="B21" s="20" t="s">
        <v>40</v>
      </c>
      <c r="C21" s="19">
        <f t="shared" ref="C21:H21" si="16">C20/$L$10</f>
        <v>672</v>
      </c>
      <c r="D21" s="19">
        <f t="shared" si="16"/>
        <v>576</v>
      </c>
      <c r="E21" s="19">
        <f t="shared" si="16"/>
        <v>736</v>
      </c>
      <c r="F21" s="19">
        <f t="shared" si="16"/>
        <v>640</v>
      </c>
      <c r="G21" s="19">
        <f t="shared" si="16"/>
        <v>672</v>
      </c>
      <c r="H21" s="19">
        <f t="shared" si="16"/>
        <v>704</v>
      </c>
      <c r="I21" s="19">
        <f>SUM(C21:H21)</f>
        <v>4000</v>
      </c>
    </row>
    <row r="22" spans="2:13" x14ac:dyDescent="0.35">
      <c r="B22" s="26" t="s">
        <v>48</v>
      </c>
      <c r="C22" s="19">
        <f>IF(C7&gt;0,C6,C6+C7)</f>
        <v>6720</v>
      </c>
      <c r="D22" s="19">
        <f t="shared" ref="D22:H22" si="17">IF(D7&gt;0,D6,D6+D7)</f>
        <v>5760</v>
      </c>
      <c r="E22" s="19">
        <f t="shared" si="17"/>
        <v>7300</v>
      </c>
      <c r="F22" s="19">
        <f t="shared" si="17"/>
        <v>5000</v>
      </c>
      <c r="G22" s="19">
        <f t="shared" si="17"/>
        <v>6720</v>
      </c>
      <c r="H22" s="19">
        <f t="shared" si="17"/>
        <v>7040</v>
      </c>
      <c r="I22" s="19">
        <f>SUM(C22:H22)</f>
        <v>38540</v>
      </c>
    </row>
  </sheetData>
  <phoneticPr fontId="2" type="noConversion"/>
  <conditionalFormatting sqref="C7:H11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  <cellWatches>
    <cellWatch r="C6"/>
    <cellWatch r="C7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098C6-8E41-454F-B8F7-B4FC08D521FA}">
  <dimension ref="B2:M22"/>
  <sheetViews>
    <sheetView tabSelected="1" zoomScale="84" workbookViewId="0">
      <selection activeCell="G8" sqref="G6:G8"/>
    </sheetView>
  </sheetViews>
  <sheetFormatPr baseColWidth="10" defaultRowHeight="14.5" x14ac:dyDescent="0.35"/>
  <cols>
    <col min="1" max="1" width="3.26953125" customWidth="1"/>
    <col min="2" max="2" width="30.81640625" bestFit="1" customWidth="1"/>
    <col min="3" max="5" width="15.26953125" style="1" bestFit="1" customWidth="1"/>
    <col min="6" max="6" width="16.453125" style="1" customWidth="1"/>
    <col min="7" max="8" width="15.26953125" style="1" bestFit="1" customWidth="1"/>
    <col min="9" max="9" width="16.453125" style="1" bestFit="1" customWidth="1"/>
    <col min="10" max="10" width="3.1796875" customWidth="1"/>
    <col min="11" max="11" width="28.54296875" bestFit="1" customWidth="1"/>
    <col min="12" max="12" width="11.81640625" bestFit="1" customWidth="1"/>
    <col min="13" max="13" width="21.81640625" bestFit="1" customWidth="1"/>
  </cols>
  <sheetData>
    <row r="2" spans="2:13" x14ac:dyDescent="0.35">
      <c r="B2" s="5"/>
      <c r="C2" s="8" t="s">
        <v>24</v>
      </c>
      <c r="D2" s="8" t="s">
        <v>25</v>
      </c>
      <c r="E2" s="8" t="s">
        <v>26</v>
      </c>
      <c r="F2" s="8" t="s">
        <v>27</v>
      </c>
      <c r="G2" s="8" t="s">
        <v>28</v>
      </c>
      <c r="H2" s="8" t="s">
        <v>29</v>
      </c>
      <c r="I2" s="8" t="s">
        <v>14</v>
      </c>
      <c r="K2" s="3" t="s">
        <v>3</v>
      </c>
      <c r="L2" s="3" t="s">
        <v>13</v>
      </c>
      <c r="M2" s="4" t="s">
        <v>1</v>
      </c>
    </row>
    <row r="3" spans="2:13" x14ac:dyDescent="0.35">
      <c r="B3" s="6" t="s">
        <v>0</v>
      </c>
      <c r="C3" s="13">
        <v>8200</v>
      </c>
      <c r="D3" s="14">
        <v>5800</v>
      </c>
      <c r="E3" s="14">
        <v>7300</v>
      </c>
      <c r="F3" s="14">
        <v>5000</v>
      </c>
      <c r="G3" s="14">
        <v>7200</v>
      </c>
      <c r="H3" s="14">
        <v>8500</v>
      </c>
      <c r="I3" s="17">
        <f>SUM(C3:H3)</f>
        <v>42000</v>
      </c>
      <c r="K3" s="6" t="s">
        <v>2</v>
      </c>
      <c r="L3" s="11">
        <v>5500</v>
      </c>
      <c r="M3" s="5" t="s">
        <v>31</v>
      </c>
    </row>
    <row r="4" spans="2:13" x14ac:dyDescent="0.35">
      <c r="B4" s="6" t="s">
        <v>23</v>
      </c>
      <c r="C4" s="15">
        <v>21</v>
      </c>
      <c r="D4" s="15">
        <v>18</v>
      </c>
      <c r="E4" s="15">
        <v>23</v>
      </c>
      <c r="F4" s="15">
        <v>20</v>
      </c>
      <c r="G4" s="15">
        <v>21</v>
      </c>
      <c r="H4" s="15">
        <v>22</v>
      </c>
      <c r="I4" s="16">
        <f>SUM(C4:H4)</f>
        <v>125</v>
      </c>
      <c r="K4" s="6" t="s">
        <v>6</v>
      </c>
      <c r="L4" s="11">
        <v>1200</v>
      </c>
      <c r="M4" s="5" t="s">
        <v>47</v>
      </c>
    </row>
    <row r="5" spans="2:13" x14ac:dyDescent="0.35">
      <c r="B5" s="6" t="s">
        <v>35</v>
      </c>
      <c r="C5" s="21">
        <f>$L$9*$L$11*C4</f>
        <v>16800</v>
      </c>
      <c r="D5" s="21">
        <f t="shared" ref="D5:H5" si="0">$L$9*$L$11*D4</f>
        <v>14400</v>
      </c>
      <c r="E5" s="21">
        <f t="shared" si="0"/>
        <v>18400</v>
      </c>
      <c r="F5" s="21">
        <f t="shared" si="0"/>
        <v>16000</v>
      </c>
      <c r="G5" s="21">
        <f t="shared" si="0"/>
        <v>16800</v>
      </c>
      <c r="H5" s="21">
        <f t="shared" si="0"/>
        <v>17600</v>
      </c>
      <c r="I5" s="21">
        <f>SUM(C5:H5)</f>
        <v>100000</v>
      </c>
      <c r="K5" s="6" t="s">
        <v>7</v>
      </c>
      <c r="L5" s="11">
        <v>1800</v>
      </c>
      <c r="M5" s="5" t="s">
        <v>47</v>
      </c>
    </row>
    <row r="6" spans="2:13" x14ac:dyDescent="0.35">
      <c r="B6" s="6" t="s">
        <v>30</v>
      </c>
      <c r="C6" s="21">
        <f>C5/$L$10</f>
        <v>6720</v>
      </c>
      <c r="D6" s="21">
        <f t="shared" ref="D6:H6" si="1">D5/$L$10</f>
        <v>5760</v>
      </c>
      <c r="E6" s="21">
        <f t="shared" si="1"/>
        <v>7360</v>
      </c>
      <c r="F6" s="21">
        <f t="shared" si="1"/>
        <v>6400</v>
      </c>
      <c r="G6" s="21">
        <f t="shared" si="1"/>
        <v>6720</v>
      </c>
      <c r="H6" s="21">
        <f t="shared" si="1"/>
        <v>7040</v>
      </c>
      <c r="I6" s="21">
        <f>SUM(C6:H6)</f>
        <v>40000</v>
      </c>
      <c r="K6" s="6" t="s">
        <v>4</v>
      </c>
      <c r="L6" s="11">
        <v>150000</v>
      </c>
      <c r="M6" s="5" t="s">
        <v>33</v>
      </c>
    </row>
    <row r="7" spans="2:13" x14ac:dyDescent="0.35">
      <c r="B7" s="6" t="s">
        <v>36</v>
      </c>
      <c r="C7" s="18">
        <f>IF(C3-C6-L12&gt;0,C3-C6-L12,0)</f>
        <v>1180</v>
      </c>
      <c r="D7" s="18">
        <f>IF(D3-D6-C12&gt;0,D3-D6-C12,0)</f>
        <v>40</v>
      </c>
      <c r="E7" s="18">
        <f t="shared" ref="E7:H7" si="2">E3-E6-D12</f>
        <v>-60</v>
      </c>
      <c r="F7" s="18">
        <f t="shared" si="2"/>
        <v>-1400</v>
      </c>
      <c r="G7" s="18">
        <f t="shared" si="2"/>
        <v>480</v>
      </c>
      <c r="H7" s="18">
        <f t="shared" si="2"/>
        <v>1460</v>
      </c>
      <c r="I7" s="23">
        <f>SUM(C7:H7)</f>
        <v>1700</v>
      </c>
      <c r="K7" s="6" t="s">
        <v>5</v>
      </c>
      <c r="L7" s="11">
        <v>190000</v>
      </c>
      <c r="M7" s="5" t="s">
        <v>33</v>
      </c>
    </row>
    <row r="8" spans="2:13" x14ac:dyDescent="0.35">
      <c r="B8" s="6" t="s">
        <v>38</v>
      </c>
      <c r="C8" s="18">
        <f>IF(IF(C7&gt;C21,C21,C7)&gt;0,IF(C7&gt;C21,C21,C7),0)</f>
        <v>672</v>
      </c>
      <c r="D8" s="18">
        <f t="shared" ref="D8:H8" si="3">IF(IF(D7&gt;D21,D21,D7)&gt;0,IF(D7&gt;D21,D21,D7),0)</f>
        <v>40</v>
      </c>
      <c r="E8" s="18">
        <f t="shared" si="3"/>
        <v>0</v>
      </c>
      <c r="F8" s="18">
        <f t="shared" si="3"/>
        <v>0</v>
      </c>
      <c r="G8" s="18">
        <f t="shared" si="3"/>
        <v>480</v>
      </c>
      <c r="H8" s="18">
        <f t="shared" si="3"/>
        <v>704</v>
      </c>
      <c r="I8" s="23">
        <f t="shared" ref="I8:I18" si="4">SUM(C8:H8)</f>
        <v>1896</v>
      </c>
      <c r="K8" s="6" t="s">
        <v>42</v>
      </c>
      <c r="L8" s="11">
        <v>1300</v>
      </c>
      <c r="M8" s="5" t="s">
        <v>32</v>
      </c>
    </row>
    <row r="9" spans="2:13" x14ac:dyDescent="0.35">
      <c r="B9" s="6" t="s">
        <v>37</v>
      </c>
      <c r="C9" s="18">
        <f>IF(C8*$L$10&gt;0,C8*$L$10,0)</f>
        <v>1680</v>
      </c>
      <c r="D9" s="18">
        <f t="shared" ref="D9:H9" si="5">IF(D8*$L$10&gt;0,D8*$L$10,0)</f>
        <v>100</v>
      </c>
      <c r="E9" s="18">
        <f t="shared" si="5"/>
        <v>0</v>
      </c>
      <c r="F9" s="18">
        <f t="shared" si="5"/>
        <v>0</v>
      </c>
      <c r="G9" s="18">
        <f t="shared" si="5"/>
        <v>1200</v>
      </c>
      <c r="H9" s="18">
        <f t="shared" si="5"/>
        <v>1760</v>
      </c>
      <c r="I9" s="23">
        <f t="shared" si="4"/>
        <v>4740</v>
      </c>
      <c r="K9" s="6" t="s">
        <v>34</v>
      </c>
      <c r="L9" s="11">
        <v>100</v>
      </c>
      <c r="M9" s="5" t="s">
        <v>8</v>
      </c>
    </row>
    <row r="10" spans="2:13" x14ac:dyDescent="0.35">
      <c r="B10" s="6" t="s">
        <v>41</v>
      </c>
      <c r="C10" s="18">
        <f>IF(C7-C8&gt;0,C7-C8,0)</f>
        <v>508</v>
      </c>
      <c r="D10" s="18">
        <f t="shared" ref="D10:H10" si="6">IF(D7-D8&gt;0,D7-D8,0)</f>
        <v>0</v>
      </c>
      <c r="E10" s="18">
        <f t="shared" si="6"/>
        <v>0</v>
      </c>
      <c r="F10" s="18">
        <f t="shared" si="6"/>
        <v>0</v>
      </c>
      <c r="G10" s="18">
        <f t="shared" si="6"/>
        <v>0</v>
      </c>
      <c r="H10" s="18">
        <f t="shared" si="6"/>
        <v>756</v>
      </c>
      <c r="I10" s="23">
        <f t="shared" si="4"/>
        <v>1264</v>
      </c>
      <c r="K10" s="6" t="s">
        <v>9</v>
      </c>
      <c r="L10" s="12">
        <v>2.5</v>
      </c>
      <c r="M10" s="5" t="s">
        <v>22</v>
      </c>
    </row>
    <row r="11" spans="2:13" x14ac:dyDescent="0.35">
      <c r="B11" s="6" t="s">
        <v>45</v>
      </c>
      <c r="C11" s="18">
        <f>IF(C7&lt;0,ABS(C7/$L$10),0)</f>
        <v>0</v>
      </c>
      <c r="D11" s="18">
        <f t="shared" ref="D11:H11" si="7">IF(D7&lt;0,ABS(D7/$L$10),0)</f>
        <v>0</v>
      </c>
      <c r="E11" s="18">
        <f>IF(E7&lt;0,ABS(E7*$L$10),0)</f>
        <v>150</v>
      </c>
      <c r="F11" s="18">
        <f>IF(F7&lt;0,ABS(F7*$L$10),0)</f>
        <v>3500</v>
      </c>
      <c r="G11" s="18">
        <f t="shared" si="7"/>
        <v>0</v>
      </c>
      <c r="H11" s="18">
        <f t="shared" si="7"/>
        <v>0</v>
      </c>
      <c r="I11" s="23">
        <f t="shared" si="4"/>
        <v>3650</v>
      </c>
      <c r="K11" s="6" t="s">
        <v>16</v>
      </c>
      <c r="L11" s="11">
        <v>8</v>
      </c>
      <c r="M11" s="5" t="s">
        <v>10</v>
      </c>
    </row>
    <row r="12" spans="2:13" x14ac:dyDescent="0.35">
      <c r="B12" s="6" t="s">
        <v>19</v>
      </c>
      <c r="C12" s="22">
        <f>$L$12+C10+C8+C6-C3</f>
        <v>0</v>
      </c>
      <c r="D12" s="22">
        <f>D10+D8+D22-D3</f>
        <v>0</v>
      </c>
      <c r="E12" s="22">
        <f t="shared" ref="E12:H12" si="8">E10+E8+E22-E3</f>
        <v>0</v>
      </c>
      <c r="F12" s="22">
        <f t="shared" si="8"/>
        <v>0</v>
      </c>
      <c r="G12" s="22">
        <f t="shared" si="8"/>
        <v>0</v>
      </c>
      <c r="H12" s="22">
        <f t="shared" si="8"/>
        <v>0</v>
      </c>
      <c r="I12" s="24">
        <f t="shared" si="4"/>
        <v>0</v>
      </c>
      <c r="K12" s="6" t="s">
        <v>11</v>
      </c>
      <c r="L12" s="11">
        <v>300</v>
      </c>
      <c r="M12" s="5" t="s">
        <v>12</v>
      </c>
    </row>
    <row r="13" spans="2:13" x14ac:dyDescent="0.35">
      <c r="B13" s="4" t="s">
        <v>6</v>
      </c>
      <c r="C13" s="21">
        <f>((C5-C11)*$L$4)</f>
        <v>20160000</v>
      </c>
      <c r="D13" s="21">
        <f t="shared" ref="D13:H13" si="9">((D5-D11)*$L$4)</f>
        <v>17280000</v>
      </c>
      <c r="E13" s="21">
        <f t="shared" si="9"/>
        <v>21900000</v>
      </c>
      <c r="F13" s="21">
        <f t="shared" si="9"/>
        <v>15000000</v>
      </c>
      <c r="G13" s="21">
        <f t="shared" si="9"/>
        <v>20160000</v>
      </c>
      <c r="H13" s="21">
        <f t="shared" si="9"/>
        <v>21120000</v>
      </c>
      <c r="I13" s="27">
        <f t="shared" si="4"/>
        <v>115620000</v>
      </c>
      <c r="K13" s="6" t="s">
        <v>18</v>
      </c>
      <c r="L13" s="11">
        <v>300</v>
      </c>
      <c r="M13" s="5" t="s">
        <v>21</v>
      </c>
    </row>
    <row r="14" spans="2:13" x14ac:dyDescent="0.35">
      <c r="B14" s="4" t="s">
        <v>43</v>
      </c>
      <c r="C14" s="27">
        <f>IF(C9*$L$5&gt;0,C9*$L$5,0)</f>
        <v>3024000</v>
      </c>
      <c r="D14" s="27">
        <f t="shared" ref="D14:H14" si="10">IF(D9*$L$5&gt;0,D9*$L$5,0)</f>
        <v>180000</v>
      </c>
      <c r="E14" s="27">
        <f t="shared" si="10"/>
        <v>0</v>
      </c>
      <c r="F14" s="27">
        <f t="shared" si="10"/>
        <v>0</v>
      </c>
      <c r="G14" s="27">
        <f t="shared" si="10"/>
        <v>2160000</v>
      </c>
      <c r="H14" s="27">
        <f t="shared" si="10"/>
        <v>3168000</v>
      </c>
      <c r="I14" s="27">
        <f t="shared" si="4"/>
        <v>8532000</v>
      </c>
    </row>
    <row r="15" spans="2:13" x14ac:dyDescent="0.35">
      <c r="B15" s="4" t="s">
        <v>44</v>
      </c>
      <c r="C15" s="22">
        <f>C11*$L$8</f>
        <v>0</v>
      </c>
      <c r="D15" s="22">
        <f t="shared" ref="D15:H15" si="11">D11*$L$8</f>
        <v>0</v>
      </c>
      <c r="E15" s="27">
        <f t="shared" si="11"/>
        <v>195000</v>
      </c>
      <c r="F15" s="27">
        <f t="shared" si="11"/>
        <v>4550000</v>
      </c>
      <c r="G15" s="22">
        <f t="shared" si="11"/>
        <v>0</v>
      </c>
      <c r="H15" s="22">
        <f t="shared" si="11"/>
        <v>0</v>
      </c>
      <c r="I15" s="27">
        <f t="shared" si="4"/>
        <v>4745000</v>
      </c>
      <c r="K15" s="7" t="s">
        <v>15</v>
      </c>
      <c r="L15" s="2">
        <f>L11/L10</f>
        <v>3.2</v>
      </c>
      <c r="M15" t="s">
        <v>12</v>
      </c>
    </row>
    <row r="16" spans="2:13" x14ac:dyDescent="0.35">
      <c r="B16" s="4" t="s">
        <v>46</v>
      </c>
      <c r="C16" s="22">
        <f>C10*$L$3</f>
        <v>2794000</v>
      </c>
      <c r="D16" s="22">
        <f t="shared" ref="D16:H16" si="12">D10*$L$3</f>
        <v>0</v>
      </c>
      <c r="E16" s="22">
        <f t="shared" si="12"/>
        <v>0</v>
      </c>
      <c r="F16" s="22">
        <f t="shared" si="12"/>
        <v>0</v>
      </c>
      <c r="G16" s="22">
        <f t="shared" si="12"/>
        <v>0</v>
      </c>
      <c r="H16" s="22">
        <f t="shared" si="12"/>
        <v>4158000</v>
      </c>
      <c r="I16" s="27">
        <f t="shared" si="4"/>
        <v>6952000</v>
      </c>
      <c r="K16" s="7"/>
      <c r="L16" s="2"/>
    </row>
    <row r="17" spans="2:13" ht="15" thickBot="1" x14ac:dyDescent="0.4">
      <c r="B17" s="4" t="s">
        <v>18</v>
      </c>
      <c r="C17" s="27">
        <f>C12*$L$13</f>
        <v>0</v>
      </c>
      <c r="D17" s="27">
        <f t="shared" ref="D17:H17" si="13">D12*$L$13</f>
        <v>0</v>
      </c>
      <c r="E17" s="27">
        <f t="shared" si="13"/>
        <v>0</v>
      </c>
      <c r="F17" s="27">
        <f t="shared" si="13"/>
        <v>0</v>
      </c>
      <c r="G17" s="27">
        <f t="shared" si="13"/>
        <v>0</v>
      </c>
      <c r="H17" s="27">
        <f t="shared" si="13"/>
        <v>0</v>
      </c>
      <c r="I17" s="22">
        <f t="shared" si="4"/>
        <v>0</v>
      </c>
      <c r="K17" s="7" t="s">
        <v>17</v>
      </c>
      <c r="L17" s="25">
        <f>((I3-L12)/I4)/L15</f>
        <v>104.25</v>
      </c>
      <c r="M17" t="s">
        <v>8</v>
      </c>
    </row>
    <row r="18" spans="2:13" ht="15.5" thickTop="1" thickBot="1" x14ac:dyDescent="0.4">
      <c r="B18" s="32" t="s">
        <v>20</v>
      </c>
      <c r="C18" s="30">
        <f>SUM(C13:C17)</f>
        <v>25978000</v>
      </c>
      <c r="D18" s="30">
        <f t="shared" ref="D18:H18" si="14">SUM(D13:D17)</f>
        <v>17460000</v>
      </c>
      <c r="E18" s="30">
        <f t="shared" si="14"/>
        <v>22095000</v>
      </c>
      <c r="F18" s="30">
        <f t="shared" si="14"/>
        <v>19550000</v>
      </c>
      <c r="G18" s="30">
        <f t="shared" si="14"/>
        <v>22320000</v>
      </c>
      <c r="H18" s="30">
        <f t="shared" si="14"/>
        <v>28446000</v>
      </c>
      <c r="I18" s="31">
        <f t="shared" si="4"/>
        <v>135849000</v>
      </c>
    </row>
    <row r="19" spans="2:13" ht="15" thickTop="1" x14ac:dyDescent="0.35"/>
    <row r="20" spans="2:13" x14ac:dyDescent="0.35">
      <c r="B20" s="20" t="s">
        <v>39</v>
      </c>
      <c r="C20" s="19">
        <f>C5*0.1</f>
        <v>1680</v>
      </c>
      <c r="D20" s="19">
        <f t="shared" ref="D20:H20" si="15">D5*0.1</f>
        <v>1440</v>
      </c>
      <c r="E20" s="19">
        <f t="shared" si="15"/>
        <v>1840</v>
      </c>
      <c r="F20" s="19">
        <f t="shared" si="15"/>
        <v>1600</v>
      </c>
      <c r="G20" s="19">
        <f t="shared" si="15"/>
        <v>1680</v>
      </c>
      <c r="H20" s="19">
        <f t="shared" si="15"/>
        <v>1760</v>
      </c>
      <c r="I20" s="19">
        <f>SUM(C20:H20)</f>
        <v>10000</v>
      </c>
    </row>
    <row r="21" spans="2:13" x14ac:dyDescent="0.35">
      <c r="B21" s="20" t="s">
        <v>40</v>
      </c>
      <c r="C21" s="19">
        <f t="shared" ref="C21:H21" si="16">C20/$L$10</f>
        <v>672</v>
      </c>
      <c r="D21" s="19">
        <f t="shared" si="16"/>
        <v>576</v>
      </c>
      <c r="E21" s="19">
        <f t="shared" si="16"/>
        <v>736</v>
      </c>
      <c r="F21" s="19">
        <f t="shared" si="16"/>
        <v>640</v>
      </c>
      <c r="G21" s="19">
        <f t="shared" si="16"/>
        <v>672</v>
      </c>
      <c r="H21" s="19">
        <f t="shared" si="16"/>
        <v>704</v>
      </c>
      <c r="I21" s="19">
        <f>SUM(C21:H21)</f>
        <v>4000</v>
      </c>
    </row>
    <row r="22" spans="2:13" x14ac:dyDescent="0.35">
      <c r="B22" s="26" t="s">
        <v>48</v>
      </c>
      <c r="C22" s="19">
        <f>IF(C7&gt;0,C6,C6+C7)</f>
        <v>6720</v>
      </c>
      <c r="D22" s="19">
        <f t="shared" ref="D22:H22" si="17">IF(D7&gt;0,D6,D6+D7)</f>
        <v>5760</v>
      </c>
      <c r="E22" s="19">
        <f t="shared" si="17"/>
        <v>7300</v>
      </c>
      <c r="F22" s="19">
        <f t="shared" si="17"/>
        <v>5000</v>
      </c>
      <c r="G22" s="19">
        <f t="shared" si="17"/>
        <v>6720</v>
      </c>
      <c r="H22" s="19">
        <f t="shared" si="17"/>
        <v>7040</v>
      </c>
      <c r="I22" s="19">
        <f>SUM(C22:H22)</f>
        <v>38540</v>
      </c>
    </row>
  </sheetData>
  <conditionalFormatting sqref="C7:H11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1.- Plantilla fija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Juanjo Goitia</dc:creator>
  <cp:lastModifiedBy>Juanjo Goitia</cp:lastModifiedBy>
  <cp:lastPrinted>2021-10-22T11:09:44Z</cp:lastPrinted>
  <dcterms:created xsi:type="dcterms:W3CDTF">2021-10-14T10:43:42Z</dcterms:created>
  <dcterms:modified xsi:type="dcterms:W3CDTF">2021-11-08T11:53:29Z</dcterms:modified>
</cp:coreProperties>
</file>